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63571" yWindow="65116" windowWidth="1995" windowHeight="9120" activeTab="0"/>
  </bookViews>
  <sheets>
    <sheet name="WBWorksheet" sheetId="1" r:id="rId1"/>
  </sheets>
  <definedNames>
    <definedName name="_xlnm.Print_Area" localSheetId="0">'WBWorksheet'!$A$1:$K$26</definedName>
    <definedName name="Z_19898B3C_F880_11DE_A5CE_0026BB674B30_.wvu.Cols" localSheetId="0" hidden="1">'WBWorksheet'!$G:$J</definedName>
    <definedName name="Z_19898B3C_F880_11DE_A5CE_0026BB674B30_.wvu.PrintArea" localSheetId="0" hidden="1">'WBWorksheet'!$A$1:$L$33</definedName>
  </definedNames>
  <calcPr fullCalcOnLoad="1"/>
</workbook>
</file>

<file path=xl/sharedStrings.xml><?xml version="1.0" encoding="utf-8"?>
<sst xmlns="http://schemas.openxmlformats.org/spreadsheetml/2006/main" count="47" uniqueCount="44">
  <si>
    <t>Qty</t>
  </si>
  <si>
    <t>Weight</t>
  </si>
  <si>
    <t>Arm</t>
  </si>
  <si>
    <t>Moment</t>
  </si>
  <si>
    <t>Basic Empty Weight</t>
  </si>
  <si>
    <t>Pilot</t>
  </si>
  <si>
    <t>Co-Pilot</t>
  </si>
  <si>
    <t>= CG, Wgt 1st point in envelope</t>
  </si>
  <si>
    <t>= CG, Wgt 2nd point in envelope</t>
  </si>
  <si>
    <t>= CG, Wgt 3rd point in envelope</t>
  </si>
  <si>
    <t>= CG, Wgt 4th point in envelope</t>
  </si>
  <si>
    <t>Weight and Balance Worksheet</t>
  </si>
  <si>
    <t>= Useful load</t>
  </si>
  <si>
    <t>= Maximum gross weight</t>
  </si>
  <si>
    <t>= Basic empty weight</t>
  </si>
  <si>
    <t>= Baggage maximum</t>
  </si>
  <si>
    <t>= CG, Wgt 5th point in envelope</t>
  </si>
  <si>
    <t>Aircraft Specifications</t>
  </si>
  <si>
    <t>Rear Passenger 1</t>
  </si>
  <si>
    <t>Rear Passenger 2</t>
  </si>
  <si>
    <t>= Fuel max gal</t>
  </si>
  <si>
    <t>Warnings:</t>
  </si>
  <si>
    <t>* The maximum allowable weight in the baggage area is 200 lbs</t>
  </si>
  <si>
    <t>= Aircraft Moment</t>
  </si>
  <si>
    <t>Totals</t>
  </si>
  <si>
    <t>NOTE:  This is provided as an aid.  The pilot in command is responsible for</t>
  </si>
  <si>
    <t>determining the weight and balance information for flight planning</t>
  </si>
  <si>
    <t xml:space="preserve">Fuel  Gal. (74 Max) </t>
  </si>
  <si>
    <t>Baggage Area 1</t>
  </si>
  <si>
    <t>Baggage Area 2</t>
  </si>
  <si>
    <t>* Flaps Up</t>
  </si>
  <si>
    <t>15 gal/hr</t>
  </si>
  <si>
    <t>Fuel Weight</t>
  </si>
  <si>
    <t>10 minutes</t>
  </si>
  <si>
    <t>Total Weight</t>
  </si>
  <si>
    <t>Moment</t>
  </si>
  <si>
    <t>Definition of Envelope</t>
  </si>
  <si>
    <t>Vy 89</t>
  </si>
  <si>
    <t>Va= 126</t>
  </si>
  <si>
    <t>Best glide = 80</t>
  </si>
  <si>
    <t>Vx= 60 Flaps 20</t>
  </si>
  <si>
    <t>V speeds (units in MPH)</t>
  </si>
  <si>
    <t>Cessna Skylane 182P</t>
  </si>
  <si>
    <t xml:space="preserve"> 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</si>
</sst>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;[Red]0.0"/>
  </numFmts>
  <fonts count="3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Arial"/>
      <family val="2"/>
    </font>
    <font>
      <sz val="8"/>
      <color indexed="1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32"/>
      <name val="Arial"/>
      <family val="2"/>
    </font>
    <font>
      <sz val="8"/>
      <color indexed="50"/>
      <name val="Arial"/>
      <family val="2"/>
    </font>
    <font>
      <sz val="8"/>
      <color indexed="20"/>
      <name val="Arial"/>
      <family val="2"/>
    </font>
    <font>
      <b/>
      <sz val="8"/>
      <color indexed="20"/>
      <name val="Arial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b/>
      <sz val="18"/>
      <color indexed="18"/>
      <name val="Arial"/>
      <family val="2"/>
    </font>
    <font>
      <sz val="12"/>
      <color indexed="18"/>
      <name val="Arial"/>
      <family val="2"/>
    </font>
    <font>
      <sz val="10"/>
      <color indexed="18"/>
      <name val="MS Sans Serif"/>
      <family val="0"/>
    </font>
    <font>
      <i/>
      <sz val="8"/>
      <color indexed="18"/>
      <name val="Arial"/>
      <family val="2"/>
    </font>
    <font>
      <i/>
      <sz val="10"/>
      <color indexed="18"/>
      <name val="MS Sans Serif"/>
      <family val="0"/>
    </font>
    <font>
      <sz val="8"/>
      <color indexed="58"/>
      <name val="Arial"/>
      <family val="2"/>
    </font>
    <font>
      <sz val="8"/>
      <color indexed="22"/>
      <name val="Arial"/>
      <family val="2"/>
    </font>
    <font>
      <sz val="10"/>
      <name val="Courier New"/>
      <family val="3"/>
    </font>
    <font>
      <sz val="8"/>
      <color indexed="10"/>
      <name val="Arial"/>
      <family val="2"/>
    </font>
    <font>
      <sz val="8"/>
      <color indexed="8"/>
      <name val="Arial"/>
      <family val="0"/>
    </font>
    <font>
      <i/>
      <sz val="8"/>
      <color indexed="32"/>
      <name val="Arial"/>
      <family val="0"/>
    </font>
    <font>
      <sz val="8.5"/>
      <color indexed="8"/>
      <name val="MS Sans Serif"/>
      <family val="0"/>
    </font>
    <font>
      <b/>
      <sz val="8.5"/>
      <color indexed="8"/>
      <name val="MS Sans Serif"/>
      <family val="0"/>
    </font>
    <font>
      <sz val="10"/>
      <color indexed="22"/>
      <name val="Arial"/>
      <family val="2"/>
    </font>
    <font>
      <sz val="10"/>
      <color indexed="55"/>
      <name val="Arial"/>
      <family val="2"/>
    </font>
    <font>
      <b/>
      <sz val="8.5"/>
      <name val="MS Sans Serif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4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/>
      <protection/>
    </xf>
    <xf numFmtId="0" fontId="4" fillId="2" borderId="2" xfId="0" applyFont="1" applyFill="1" applyBorder="1" applyAlignment="1" applyProtection="1">
      <alignment horizontal="left"/>
      <protection/>
    </xf>
    <xf numFmtId="0" fontId="4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/>
      <protection/>
    </xf>
    <xf numFmtId="2" fontId="4" fillId="0" borderId="0" xfId="0" applyNumberFormat="1" applyFont="1" applyFill="1" applyAlignment="1" applyProtection="1">
      <alignment/>
      <protection/>
    </xf>
    <xf numFmtId="0" fontId="4" fillId="0" borderId="0" xfId="0" applyFont="1" applyFill="1" applyAlignment="1" applyProtection="1" quotePrefix="1">
      <alignment/>
      <protection/>
    </xf>
    <xf numFmtId="0" fontId="4" fillId="2" borderId="3" xfId="0" applyFont="1" applyFill="1" applyBorder="1" applyAlignment="1" applyProtection="1">
      <alignment/>
      <protection/>
    </xf>
    <xf numFmtId="0" fontId="4" fillId="2" borderId="4" xfId="0" applyFont="1" applyFill="1" applyBorder="1" applyAlignment="1" applyProtection="1">
      <alignment/>
      <protection/>
    </xf>
    <xf numFmtId="0" fontId="18" fillId="0" borderId="0" xfId="0" applyFont="1" applyAlignment="1" applyProtection="1">
      <alignment horizontal="left"/>
      <protection/>
    </xf>
    <xf numFmtId="0" fontId="21" fillId="0" borderId="0" xfId="0" applyFont="1" applyAlignment="1" applyProtection="1">
      <alignment/>
      <protection/>
    </xf>
    <xf numFmtId="1" fontId="0" fillId="0" borderId="0" xfId="0" applyNumberFormat="1" applyFont="1" applyFill="1" applyAlignment="1" applyProtection="1">
      <alignment/>
      <protection/>
    </xf>
    <xf numFmtId="0" fontId="16" fillId="0" borderId="0" xfId="0" applyFont="1" applyFill="1" applyAlignment="1" applyProtection="1">
      <alignment horizontal="center"/>
      <protection/>
    </xf>
    <xf numFmtId="0" fontId="0" fillId="0" borderId="0" xfId="0" applyFont="1" applyFill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/>
      <protection/>
    </xf>
    <xf numFmtId="0" fontId="16" fillId="0" borderId="0" xfId="0" applyFont="1" applyFill="1" applyBorder="1" applyAlignment="1" applyProtection="1">
      <alignment horizontal="center"/>
      <protection/>
    </xf>
    <xf numFmtId="0" fontId="4" fillId="2" borderId="5" xfId="0" applyFont="1" applyFill="1" applyBorder="1" applyAlignment="1" applyProtection="1">
      <alignment/>
      <protection/>
    </xf>
    <xf numFmtId="164" fontId="4" fillId="2" borderId="6" xfId="0" applyNumberFormat="1" applyFont="1" applyFill="1" applyBorder="1" applyAlignment="1" applyProtection="1">
      <alignment/>
      <protection/>
    </xf>
    <xf numFmtId="0" fontId="4" fillId="2" borderId="7" xfId="0" applyFont="1" applyFill="1" applyBorder="1" applyAlignment="1" applyProtection="1">
      <alignment horizontal="left"/>
      <protection/>
    </xf>
    <xf numFmtId="0" fontId="22" fillId="2" borderId="7" xfId="0" applyFont="1" applyFill="1" applyBorder="1" applyAlignment="1" applyProtection="1">
      <alignment/>
      <protection/>
    </xf>
    <xf numFmtId="0" fontId="4" fillId="2" borderId="2" xfId="0" applyFont="1" applyFill="1" applyBorder="1" applyAlignment="1" applyProtection="1">
      <alignment/>
      <protection/>
    </xf>
    <xf numFmtId="2" fontId="4" fillId="2" borderId="2" xfId="0" applyNumberFormat="1" applyFont="1" applyFill="1" applyBorder="1" applyAlignment="1" applyProtection="1">
      <alignment/>
      <protection/>
    </xf>
    <xf numFmtId="2" fontId="4" fillId="2" borderId="8" xfId="0" applyNumberFormat="1" applyFont="1" applyFill="1" applyBorder="1" applyAlignment="1" applyProtection="1">
      <alignment/>
      <protection/>
    </xf>
    <xf numFmtId="0" fontId="7" fillId="2" borderId="6" xfId="0" applyFont="1" applyFill="1" applyBorder="1" applyAlignment="1" applyProtection="1">
      <alignment/>
      <protection/>
    </xf>
    <xf numFmtId="0" fontId="4" fillId="2" borderId="0" xfId="0" applyFont="1" applyFill="1" applyBorder="1" applyAlignment="1" applyProtection="1">
      <alignment/>
      <protection/>
    </xf>
    <xf numFmtId="0" fontId="4" fillId="2" borderId="9" xfId="0" applyFont="1" applyFill="1" applyBorder="1" applyAlignment="1" applyProtection="1">
      <alignment/>
      <protection/>
    </xf>
    <xf numFmtId="2" fontId="4" fillId="2" borderId="0" xfId="0" applyNumberFormat="1" applyFont="1" applyFill="1" applyBorder="1" applyAlignment="1" applyProtection="1">
      <alignment/>
      <protection/>
    </xf>
    <xf numFmtId="2" fontId="4" fillId="2" borderId="9" xfId="0" applyNumberFormat="1" applyFont="1" applyFill="1" applyBorder="1" applyAlignment="1" applyProtection="1">
      <alignment/>
      <protection/>
    </xf>
    <xf numFmtId="0" fontId="7" fillId="2" borderId="5" xfId="0" applyFont="1" applyFill="1" applyBorder="1" applyAlignment="1" applyProtection="1">
      <alignment/>
      <protection/>
    </xf>
    <xf numFmtId="0" fontId="11" fillId="2" borderId="1" xfId="0" applyFont="1" applyFill="1" applyBorder="1" applyAlignment="1" applyProtection="1">
      <alignment/>
      <protection/>
    </xf>
    <xf numFmtId="0" fontId="11" fillId="2" borderId="10" xfId="0" applyFont="1" applyFill="1" applyBorder="1" applyAlignment="1" applyProtection="1">
      <alignment/>
      <protection/>
    </xf>
    <xf numFmtId="0" fontId="4" fillId="2" borderId="0" xfId="0" applyFont="1" applyFill="1" applyBorder="1" applyAlignment="1" applyProtection="1">
      <alignment horizontal="left"/>
      <protection/>
    </xf>
    <xf numFmtId="0" fontId="4" fillId="2" borderId="6" xfId="0" applyFont="1" applyFill="1" applyBorder="1" applyAlignment="1" applyProtection="1">
      <alignment/>
      <protection/>
    </xf>
    <xf numFmtId="170" fontId="4" fillId="2" borderId="9" xfId="0" applyNumberFormat="1" applyFont="1" applyFill="1" applyBorder="1" applyAlignment="1" applyProtection="1">
      <alignment/>
      <protection/>
    </xf>
    <xf numFmtId="0" fontId="4" fillId="2" borderId="11" xfId="0" applyFont="1" applyFill="1" applyBorder="1" applyAlignment="1" applyProtection="1">
      <alignment/>
      <protection/>
    </xf>
    <xf numFmtId="0" fontId="6" fillId="2" borderId="11" xfId="0" applyFont="1" applyFill="1" applyBorder="1" applyAlignment="1" applyProtection="1">
      <alignment horizontal="right"/>
      <protection/>
    </xf>
    <xf numFmtId="164" fontId="4" fillId="2" borderId="11" xfId="0" applyNumberFormat="1" applyFont="1" applyFill="1" applyBorder="1" applyAlignment="1" applyProtection="1">
      <alignment/>
      <protection/>
    </xf>
    <xf numFmtId="3" fontId="4" fillId="2" borderId="11" xfId="0" applyNumberFormat="1" applyFont="1" applyFill="1" applyBorder="1" applyAlignment="1" applyProtection="1">
      <alignment/>
      <protection/>
    </xf>
    <xf numFmtId="0" fontId="8" fillId="2" borderId="11" xfId="0" applyFont="1" applyFill="1" applyBorder="1" applyAlignment="1" applyProtection="1">
      <alignment/>
      <protection/>
    </xf>
    <xf numFmtId="0" fontId="8" fillId="0" borderId="11" xfId="0" applyFont="1" applyFill="1" applyBorder="1" applyAlignment="1" applyProtection="1">
      <alignment/>
      <protection locked="0"/>
    </xf>
    <xf numFmtId="164" fontId="8" fillId="2" borderId="11" xfId="0" applyNumberFormat="1" applyFont="1" applyFill="1" applyBorder="1" applyAlignment="1" applyProtection="1">
      <alignment/>
      <protection/>
    </xf>
    <xf numFmtId="3" fontId="8" fillId="2" borderId="11" xfId="0" applyNumberFormat="1" applyFont="1" applyFill="1" applyBorder="1" applyAlignment="1" applyProtection="1">
      <alignment/>
      <protection/>
    </xf>
    <xf numFmtId="0" fontId="19" fillId="2" borderId="11" xfId="0" applyFont="1" applyFill="1" applyBorder="1" applyAlignment="1" applyProtection="1">
      <alignment/>
      <protection/>
    </xf>
    <xf numFmtId="0" fontId="19" fillId="0" borderId="11" xfId="0" applyFont="1" applyFill="1" applyBorder="1" applyAlignment="1" applyProtection="1">
      <alignment/>
      <protection locked="0"/>
    </xf>
    <xf numFmtId="164" fontId="19" fillId="2" borderId="11" xfId="0" applyNumberFormat="1" applyFont="1" applyFill="1" applyBorder="1" applyAlignment="1" applyProtection="1">
      <alignment/>
      <protection/>
    </xf>
    <xf numFmtId="3" fontId="19" fillId="2" borderId="11" xfId="0" applyNumberFormat="1" applyFont="1" applyFill="1" applyBorder="1" applyAlignment="1" applyProtection="1">
      <alignment/>
      <protection/>
    </xf>
    <xf numFmtId="0" fontId="10" fillId="2" borderId="11" xfId="0" applyFont="1" applyFill="1" applyBorder="1" applyAlignment="1" applyProtection="1">
      <alignment/>
      <protection/>
    </xf>
    <xf numFmtId="0" fontId="10" fillId="0" borderId="11" xfId="0" applyFont="1" applyFill="1" applyBorder="1" applyAlignment="1" applyProtection="1">
      <alignment/>
      <protection locked="0"/>
    </xf>
    <xf numFmtId="164" fontId="10" fillId="2" borderId="11" xfId="0" applyNumberFormat="1" applyFont="1" applyFill="1" applyBorder="1" applyAlignment="1" applyProtection="1">
      <alignment/>
      <protection/>
    </xf>
    <xf numFmtId="3" fontId="10" fillId="2" borderId="11" xfId="0" applyNumberFormat="1" applyFont="1" applyFill="1" applyBorder="1" applyAlignment="1" applyProtection="1">
      <alignment/>
      <protection/>
    </xf>
    <xf numFmtId="0" fontId="9" fillId="2" borderId="11" xfId="0" applyFont="1" applyFill="1" applyBorder="1" applyAlignment="1" applyProtection="1">
      <alignment/>
      <protection/>
    </xf>
    <xf numFmtId="0" fontId="9" fillId="0" borderId="11" xfId="0" applyFont="1" applyFill="1" applyBorder="1" applyAlignment="1" applyProtection="1">
      <alignment/>
      <protection locked="0"/>
    </xf>
    <xf numFmtId="164" fontId="9" fillId="2" borderId="11" xfId="0" applyNumberFormat="1" applyFont="1" applyFill="1" applyBorder="1" applyAlignment="1" applyProtection="1">
      <alignment/>
      <protection/>
    </xf>
    <xf numFmtId="3" fontId="9" fillId="2" borderId="11" xfId="0" applyNumberFormat="1" applyFont="1" applyFill="1" applyBorder="1" applyAlignment="1" applyProtection="1">
      <alignment/>
      <protection/>
    </xf>
    <xf numFmtId="0" fontId="4" fillId="2" borderId="11" xfId="0" applyFont="1" applyFill="1" applyBorder="1" applyAlignment="1" applyProtection="1">
      <alignment horizontal="left"/>
      <protection/>
    </xf>
    <xf numFmtId="0" fontId="6" fillId="2" borderId="12" xfId="0" applyFont="1" applyFill="1" applyBorder="1" applyAlignment="1" applyProtection="1">
      <alignment horizontal="left"/>
      <protection/>
    </xf>
    <xf numFmtId="0" fontId="0" fillId="2" borderId="13" xfId="0" applyFill="1" applyBorder="1" applyAlignment="1" applyProtection="1">
      <alignment horizontal="left"/>
      <protection/>
    </xf>
    <xf numFmtId="0" fontId="4" fillId="2" borderId="13" xfId="0" applyFont="1" applyFill="1" applyBorder="1" applyAlignment="1" applyProtection="1">
      <alignment/>
      <protection/>
    </xf>
    <xf numFmtId="0" fontId="11" fillId="2" borderId="14" xfId="0" applyFont="1" applyFill="1" applyBorder="1" applyAlignment="1" applyProtection="1">
      <alignment/>
      <protection/>
    </xf>
    <xf numFmtId="0" fontId="4" fillId="2" borderId="8" xfId="0" applyFont="1" applyFill="1" applyBorder="1" applyAlignment="1" applyProtection="1">
      <alignment/>
      <protection/>
    </xf>
    <xf numFmtId="0" fontId="4" fillId="2" borderId="6" xfId="0" applyFont="1" applyFill="1" applyBorder="1" applyAlignment="1" applyProtection="1">
      <alignment horizontal="left"/>
      <protection/>
    </xf>
    <xf numFmtId="0" fontId="4" fillId="2" borderId="10" xfId="0" applyFont="1" applyFill="1" applyBorder="1" applyAlignment="1" applyProtection="1">
      <alignment/>
      <protection/>
    </xf>
    <xf numFmtId="0" fontId="4" fillId="2" borderId="15" xfId="0" applyFont="1" applyFill="1" applyBorder="1" applyAlignment="1" applyProtection="1">
      <alignment/>
      <protection/>
    </xf>
    <xf numFmtId="0" fontId="14" fillId="2" borderId="16" xfId="0" applyFont="1" applyFill="1" applyBorder="1" applyAlignment="1" applyProtection="1">
      <alignment horizontal="left"/>
      <protection/>
    </xf>
    <xf numFmtId="0" fontId="14" fillId="2" borderId="16" xfId="0" applyFont="1" applyFill="1" applyBorder="1" applyAlignment="1" applyProtection="1">
      <alignment horizontal="center"/>
      <protection/>
    </xf>
    <xf numFmtId="0" fontId="17" fillId="2" borderId="16" xfId="0" applyFont="1" applyFill="1" applyBorder="1" applyAlignment="1" applyProtection="1">
      <alignment horizontal="left"/>
      <protection/>
    </xf>
    <xf numFmtId="0" fontId="18" fillId="2" borderId="16" xfId="0" applyFont="1" applyFill="1" applyBorder="1" applyAlignment="1" applyProtection="1">
      <alignment horizontal="left"/>
      <protection/>
    </xf>
    <xf numFmtId="0" fontId="18" fillId="2" borderId="17" xfId="0" applyFont="1" applyFill="1" applyBorder="1" applyAlignment="1" applyProtection="1">
      <alignment horizontal="left"/>
      <protection/>
    </xf>
    <xf numFmtId="0" fontId="15" fillId="2" borderId="0" xfId="0" applyFont="1" applyFill="1" applyBorder="1" applyAlignment="1" applyProtection="1">
      <alignment horizontal="left"/>
      <protection/>
    </xf>
    <xf numFmtId="0" fontId="15" fillId="2" borderId="0" xfId="0" applyFont="1" applyFill="1" applyBorder="1" applyAlignment="1" applyProtection="1">
      <alignment horizontal="center"/>
      <protection/>
    </xf>
    <xf numFmtId="0" fontId="17" fillId="2" borderId="0" xfId="0" applyFont="1" applyFill="1" applyBorder="1" applyAlignment="1">
      <alignment/>
    </xf>
    <xf numFmtId="0" fontId="18" fillId="2" borderId="0" xfId="0" applyFont="1" applyFill="1" applyBorder="1" applyAlignment="1" applyProtection="1">
      <alignment horizontal="left"/>
      <protection/>
    </xf>
    <xf numFmtId="0" fontId="18" fillId="2" borderId="4" xfId="0" applyFont="1" applyFill="1" applyBorder="1" applyAlignment="1" applyProtection="1">
      <alignment horizontal="left"/>
      <protection/>
    </xf>
    <xf numFmtId="0" fontId="4" fillId="2" borderId="0" xfId="0" applyFont="1" applyFill="1" applyBorder="1" applyAlignment="1" applyProtection="1">
      <alignment horizontal="center"/>
      <protection/>
    </xf>
    <xf numFmtId="0" fontId="6" fillId="2" borderId="0" xfId="0" applyFont="1" applyFill="1" applyBorder="1" applyAlignment="1" applyProtection="1">
      <alignment/>
      <protection/>
    </xf>
    <xf numFmtId="164" fontId="4" fillId="2" borderId="0" xfId="0" applyNumberFormat="1" applyFont="1" applyFill="1" applyBorder="1" applyAlignment="1" applyProtection="1">
      <alignment/>
      <protection/>
    </xf>
    <xf numFmtId="0" fontId="4" fillId="2" borderId="0" xfId="0" applyFont="1" applyFill="1" applyBorder="1" applyAlignment="1" applyProtection="1" quotePrefix="1">
      <alignment/>
      <protection/>
    </xf>
    <xf numFmtId="1" fontId="4" fillId="2" borderId="0" xfId="0" applyNumberFormat="1" applyFont="1" applyFill="1" applyBorder="1" applyAlignment="1" applyProtection="1">
      <alignment/>
      <protection/>
    </xf>
    <xf numFmtId="1" fontId="23" fillId="2" borderId="0" xfId="0" applyNumberFormat="1" applyFont="1" applyFill="1" applyBorder="1" applyAlignment="1" applyProtection="1">
      <alignment/>
      <protection/>
    </xf>
    <xf numFmtId="0" fontId="23" fillId="2" borderId="0" xfId="0" applyFont="1" applyFill="1" applyBorder="1" applyAlignment="1" applyProtection="1">
      <alignment/>
      <protection/>
    </xf>
    <xf numFmtId="0" fontId="23" fillId="2" borderId="0" xfId="0" applyFont="1" applyFill="1" applyBorder="1" applyAlignment="1" applyProtection="1" quotePrefix="1">
      <alignment wrapText="1"/>
      <protection/>
    </xf>
    <xf numFmtId="164" fontId="23" fillId="2" borderId="0" xfId="0" applyNumberFormat="1" applyFont="1" applyFill="1" applyBorder="1" applyAlignment="1" applyProtection="1">
      <alignment/>
      <protection/>
    </xf>
    <xf numFmtId="0" fontId="11" fillId="2" borderId="0" xfId="0" applyFont="1" applyFill="1" applyBorder="1" applyAlignment="1" applyProtection="1">
      <alignment/>
      <protection/>
    </xf>
    <xf numFmtId="0" fontId="0" fillId="2" borderId="0" xfId="0" applyFill="1" applyBorder="1" applyAlignment="1" applyProtection="1">
      <alignment/>
      <protection/>
    </xf>
    <xf numFmtId="0" fontId="20" fillId="2" borderId="0" xfId="0" applyFont="1" applyFill="1" applyBorder="1" applyAlignment="1" applyProtection="1">
      <alignment horizontal="right" vertical="center"/>
      <protection/>
    </xf>
    <xf numFmtId="0" fontId="24" fillId="2" borderId="3" xfId="0" applyFont="1" applyFill="1" applyBorder="1" applyAlignment="1" applyProtection="1">
      <alignment/>
      <protection/>
    </xf>
    <xf numFmtId="0" fontId="20" fillId="2" borderId="0" xfId="0" applyFont="1" applyFill="1" applyBorder="1" applyAlignment="1" applyProtection="1">
      <alignment/>
      <protection/>
    </xf>
    <xf numFmtId="0" fontId="0" fillId="3" borderId="0" xfId="0" applyFill="1" applyAlignment="1">
      <alignment/>
    </xf>
    <xf numFmtId="0" fontId="27" fillId="3" borderId="18" xfId="0" applyFont="1" applyFill="1" applyBorder="1" applyAlignment="1">
      <alignment horizontal="center"/>
    </xf>
    <xf numFmtId="0" fontId="27" fillId="3" borderId="0" xfId="0" applyFont="1" applyFill="1" applyAlignment="1">
      <alignment horizontal="center"/>
    </xf>
    <xf numFmtId="0" fontId="28" fillId="3" borderId="18" xfId="0" applyFont="1" applyFill="1" applyBorder="1" applyAlignment="1">
      <alignment horizontal="center"/>
    </xf>
    <xf numFmtId="164" fontId="27" fillId="3" borderId="0" xfId="0" applyNumberFormat="1" applyFont="1" applyFill="1" applyAlignment="1">
      <alignment horizontal="center"/>
    </xf>
    <xf numFmtId="0" fontId="0" fillId="3" borderId="0" xfId="0" applyFill="1" applyAlignment="1">
      <alignment horizontal="center"/>
    </xf>
    <xf numFmtId="0" fontId="27" fillId="3" borderId="0" xfId="0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25"/>
          <c:y val="0"/>
          <c:w val="0.97275"/>
          <c:h val="0.9605"/>
        </c:manualLayout>
      </c:layout>
      <c:scatterChart>
        <c:scatterStyle val="lineMarker"/>
        <c:varyColors val="0"/>
        <c:ser>
          <c:idx val="0"/>
          <c:order val="0"/>
          <c:tx>
            <c:v>Envelope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WBWorksheet!$G$12:$G$16</c:f>
              <c:numCache>
                <c:ptCount val="5"/>
                <c:pt idx="0">
                  <c:v>33</c:v>
                </c:pt>
                <c:pt idx="1">
                  <c:v>33</c:v>
                </c:pt>
                <c:pt idx="2">
                  <c:v>39.5</c:v>
                </c:pt>
                <c:pt idx="3">
                  <c:v>48.5</c:v>
                </c:pt>
                <c:pt idx="4">
                  <c:v>48.5</c:v>
                </c:pt>
              </c:numCache>
            </c:numRef>
          </c:xVal>
          <c:yVal>
            <c:numRef>
              <c:f>WBWorksheet!$H$12:$H$16</c:f>
              <c:numCache>
                <c:ptCount val="5"/>
                <c:pt idx="0">
                  <c:v>1800</c:v>
                </c:pt>
                <c:pt idx="1">
                  <c:v>2250</c:v>
                </c:pt>
                <c:pt idx="2">
                  <c:v>2950</c:v>
                </c:pt>
                <c:pt idx="3">
                  <c:v>2950</c:v>
                </c:pt>
                <c:pt idx="4">
                  <c:v>1800</c:v>
                </c:pt>
              </c:numCache>
            </c:numRef>
          </c:yVal>
          <c:smooth val="0"/>
        </c:ser>
        <c:ser>
          <c:idx val="2"/>
          <c:order val="1"/>
          <c:tx>
            <c:v>Basic Empty Weight</c:v>
          </c:tx>
          <c:spPr>
            <a:ln w="127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WBWorksheet!$E$5</c:f>
              <c:numCache>
                <c:ptCount val="1"/>
                <c:pt idx="0">
                  <c:v>39.8773495248152</c:v>
                </c:pt>
              </c:numCache>
            </c:numRef>
          </c:xVal>
          <c:yVal>
            <c:numRef>
              <c:f>WBWorksheet!$D$5</c:f>
              <c:numCache>
                <c:ptCount val="1"/>
                <c:pt idx="0">
                  <c:v>1894</c:v>
                </c:pt>
              </c:numCache>
            </c:numRef>
          </c:yVal>
          <c:smooth val="0"/>
        </c:ser>
        <c:ser>
          <c:idx val="1"/>
          <c:order val="2"/>
          <c:tx>
            <c:v>Pilot</c:v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WBWorksheet!$H$17:$H$19</c:f>
              <c:numCache>
                <c:ptCount val="3"/>
                <c:pt idx="0">
                  <c:v>39.8773495248152</c:v>
                </c:pt>
                <c:pt idx="1">
                  <c:v>39.8773495248152</c:v>
                </c:pt>
                <c:pt idx="2">
                  <c:v>39.8773495248152</c:v>
                </c:pt>
              </c:numCache>
            </c:numRef>
          </c:xVal>
          <c:yVal>
            <c:numRef>
              <c:f>WBWorksheet!$G$17:$G$19</c:f>
              <c:numCache>
                <c:ptCount val="3"/>
                <c:pt idx="0">
                  <c:v>1894</c:v>
                </c:pt>
                <c:pt idx="1">
                  <c:v>1894</c:v>
                </c:pt>
                <c:pt idx="2">
                  <c:v>1894</c:v>
                </c:pt>
              </c:numCache>
            </c:numRef>
          </c:yVal>
          <c:smooth val="0"/>
        </c:ser>
        <c:ser>
          <c:idx val="3"/>
          <c:order val="3"/>
          <c:tx>
            <c:v>Passengers</c:v>
          </c:tx>
          <c:spPr>
            <a:ln w="254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WBWorksheet!$H$19:$H$21</c:f>
              <c:numCache>
                <c:ptCount val="3"/>
                <c:pt idx="0">
                  <c:v>39.8773495248152</c:v>
                </c:pt>
                <c:pt idx="1">
                  <c:v>39.8773495248152</c:v>
                </c:pt>
                <c:pt idx="2">
                  <c:v>39.8773495248152</c:v>
                </c:pt>
              </c:numCache>
            </c:numRef>
          </c:xVal>
          <c:yVal>
            <c:numRef>
              <c:f>WBWorksheet!$G$19:$G$21</c:f>
              <c:numCache>
                <c:ptCount val="3"/>
                <c:pt idx="0">
                  <c:v>1894</c:v>
                </c:pt>
                <c:pt idx="1">
                  <c:v>1894</c:v>
                </c:pt>
                <c:pt idx="2">
                  <c:v>1894</c:v>
                </c:pt>
              </c:numCache>
            </c:numRef>
          </c:yVal>
          <c:smooth val="0"/>
        </c:ser>
        <c:ser>
          <c:idx val="4"/>
          <c:order val="4"/>
          <c:tx>
            <c:v>Baggage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WBWorksheet!$H$21:$H$22</c:f>
              <c:numCache>
                <c:ptCount val="2"/>
                <c:pt idx="0">
                  <c:v>39.8773495248152</c:v>
                </c:pt>
                <c:pt idx="1">
                  <c:v>39.8773495248152</c:v>
                </c:pt>
              </c:numCache>
            </c:numRef>
          </c:xVal>
          <c:yVal>
            <c:numRef>
              <c:f>WBWorksheet!$G$21:$G$22</c:f>
              <c:numCache>
                <c:ptCount val="2"/>
                <c:pt idx="0">
                  <c:v>1894</c:v>
                </c:pt>
                <c:pt idx="1">
                  <c:v>1894</c:v>
                </c:pt>
              </c:numCache>
            </c:numRef>
          </c:yVal>
          <c:smooth val="0"/>
        </c:ser>
        <c:ser>
          <c:idx val="5"/>
          <c:order val="5"/>
          <c:tx>
            <c:v>Fuel</c:v>
          </c:tx>
          <c:spPr>
            <a:ln w="25400">
              <a:solidFill>
                <a:srgbClr val="33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WBWorksheet!$H$22:$H$23</c:f>
              <c:numCache>
                <c:ptCount val="2"/>
                <c:pt idx="0">
                  <c:v>39.8773495248152</c:v>
                </c:pt>
                <c:pt idx="1">
                  <c:v>39.96147028154327</c:v>
                </c:pt>
              </c:numCache>
            </c:numRef>
          </c:xVal>
          <c:yVal>
            <c:numRef>
              <c:f>WBWorksheet!$G$22:$G$23</c:f>
              <c:numCache>
                <c:ptCount val="2"/>
                <c:pt idx="0">
                  <c:v>1894</c:v>
                </c:pt>
                <c:pt idx="1">
                  <c:v>1918</c:v>
                </c:pt>
              </c:numCache>
            </c:numRef>
          </c:yVal>
          <c:smooth val="0"/>
        </c:ser>
        <c:axId val="61838021"/>
        <c:axId val="48472146"/>
      </c:scatterChart>
      <c:valAx>
        <c:axId val="61838021"/>
        <c:scaling>
          <c:orientation val="minMax"/>
          <c:max val="49"/>
          <c:min val="3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MS Sans Serif"/>
                    <a:ea typeface="MS Sans Serif"/>
                    <a:cs typeface="MS Sans Serif"/>
                  </a:rPr>
                  <a:t>C.G. Location (Inches Aft Datum)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48472146"/>
        <c:crossesAt val="1000"/>
        <c:crossBetween val="midCat"/>
        <c:dispUnits/>
        <c:majorUnit val="1"/>
        <c:minorUnit val="1"/>
      </c:valAx>
      <c:valAx>
        <c:axId val="48472146"/>
        <c:scaling>
          <c:orientation val="minMax"/>
          <c:max val="3000"/>
          <c:min val="18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MS Sans Serif"/>
                    <a:ea typeface="MS Sans Serif"/>
                    <a:cs typeface="MS Sans Serif"/>
                  </a:rPr>
                  <a:t>Aircraft Weight (lbs)</a:t>
                </a:r>
              </a:p>
            </c:rich>
          </c:tx>
          <c:layout>
            <c:manualLayout>
              <c:xMode val="factor"/>
              <c:yMode val="factor"/>
              <c:x val="0.0075"/>
              <c:y val="-0.00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61838021"/>
        <c:crossesAt val="30"/>
        <c:crossBetween val="midCat"/>
        <c:dispUnits/>
        <c:majorUnit val="100"/>
        <c:minorUnit val="50"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MS Sans Serif"/>
          <a:ea typeface="MS Sans Serif"/>
          <a:cs typeface="MS Sans Serif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38100</xdr:rowOff>
    </xdr:from>
    <xdr:to>
      <xdr:col>0</xdr:col>
      <xdr:colOff>3267075</xdr:colOff>
      <xdr:row>20</xdr:row>
      <xdr:rowOff>142875</xdr:rowOff>
    </xdr:to>
    <xdr:graphicFrame>
      <xdr:nvGraphicFramePr>
        <xdr:cNvPr id="1" name="Chart 3"/>
        <xdr:cNvGraphicFramePr/>
      </xdr:nvGraphicFramePr>
      <xdr:xfrm>
        <a:off x="28575" y="38100"/>
        <a:ext cx="3238500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2"/>
  <sheetViews>
    <sheetView tabSelected="1" showOutlineSymbols="0" zoomScale="75" zoomScaleNormal="75" workbookViewId="0" topLeftCell="A1">
      <selection activeCell="C11" sqref="C11"/>
    </sheetView>
  </sheetViews>
  <sheetFormatPr defaultColWidth="9.140625" defaultRowHeight="12.75" customHeight="1"/>
  <cols>
    <col min="1" max="1" width="52.57421875" style="1" customWidth="1"/>
    <col min="2" max="2" width="18.7109375" style="1" customWidth="1"/>
    <col min="3" max="3" width="5.7109375" style="1" customWidth="1"/>
    <col min="4" max="4" width="6.28125" style="1" customWidth="1"/>
    <col min="5" max="5" width="5.8515625" style="1" customWidth="1"/>
    <col min="6" max="6" width="10.140625" style="1" customWidth="1"/>
    <col min="7" max="7" width="15.28125" style="1" hidden="1" customWidth="1"/>
    <col min="8" max="8" width="19.28125" style="1" hidden="1" customWidth="1"/>
    <col min="9" max="9" width="0.13671875" style="1" customWidth="1"/>
    <col min="10" max="10" width="22.140625" style="1" hidden="1" customWidth="1"/>
    <col min="11" max="11" width="3.57421875" style="1" customWidth="1"/>
    <col min="12" max="12" width="9.8515625" style="1" hidden="1" customWidth="1"/>
    <col min="13" max="13" width="11.28125" style="1" hidden="1" customWidth="1"/>
    <col min="14" max="14" width="14.421875" style="1" hidden="1" customWidth="1"/>
    <col min="15" max="15" width="0.13671875" style="1" hidden="1" customWidth="1"/>
    <col min="16" max="16" width="9.140625" style="1" hidden="1" customWidth="1"/>
    <col min="17" max="16384" width="9.140625" style="1" customWidth="1"/>
  </cols>
  <sheetData>
    <row r="1" spans="1:12" ht="27" customHeight="1">
      <c r="A1" s="64"/>
      <c r="B1" s="65" t="s">
        <v>42</v>
      </c>
      <c r="C1" s="66"/>
      <c r="D1" s="66"/>
      <c r="E1" s="66"/>
      <c r="F1" s="67"/>
      <c r="G1" s="68"/>
      <c r="H1" s="68"/>
      <c r="I1" s="68"/>
      <c r="J1" s="68"/>
      <c r="K1" s="69"/>
      <c r="L1" s="11"/>
    </row>
    <row r="2" spans="1:12" ht="12.75" customHeight="1">
      <c r="A2" s="9"/>
      <c r="B2" s="70" t="s">
        <v>11</v>
      </c>
      <c r="C2" s="71"/>
      <c r="D2" s="71"/>
      <c r="E2" s="71"/>
      <c r="F2" s="72"/>
      <c r="G2" s="73"/>
      <c r="H2" s="73"/>
      <c r="I2" s="73"/>
      <c r="J2" s="73"/>
      <c r="K2" s="74"/>
      <c r="L2" s="11"/>
    </row>
    <row r="3" spans="1:12" ht="12.75" customHeight="1">
      <c r="A3" s="9"/>
      <c r="B3" s="75"/>
      <c r="C3" s="75"/>
      <c r="D3" s="26"/>
      <c r="E3" s="75"/>
      <c r="F3" s="72"/>
      <c r="G3" s="26"/>
      <c r="H3" s="26"/>
      <c r="I3" s="26"/>
      <c r="J3" s="26"/>
      <c r="K3" s="10"/>
      <c r="L3" s="6"/>
    </row>
    <row r="4" spans="1:15" ht="12.75" customHeight="1">
      <c r="A4" s="9"/>
      <c r="B4" s="36"/>
      <c r="C4" s="37" t="s">
        <v>0</v>
      </c>
      <c r="D4" s="37" t="s">
        <v>1</v>
      </c>
      <c r="E4" s="37" t="s">
        <v>2</v>
      </c>
      <c r="F4" s="37" t="s">
        <v>3</v>
      </c>
      <c r="G4" s="76" t="s">
        <v>17</v>
      </c>
      <c r="H4" s="76"/>
      <c r="I4" s="26"/>
      <c r="J4" s="26"/>
      <c r="K4" s="10"/>
      <c r="L4" s="89"/>
      <c r="M4" s="90" t="s">
        <v>31</v>
      </c>
      <c r="N4" s="91"/>
      <c r="O4" s="91"/>
    </row>
    <row r="5" spans="1:15" ht="12.75" customHeight="1">
      <c r="A5" s="9"/>
      <c r="B5" s="36" t="s">
        <v>4</v>
      </c>
      <c r="C5" s="38">
        <f>G6</f>
        <v>1894</v>
      </c>
      <c r="D5" s="38">
        <f>C5</f>
        <v>1894</v>
      </c>
      <c r="E5" s="38">
        <f>F5/D5</f>
        <v>39.8773495248152</v>
      </c>
      <c r="F5" s="39">
        <f>G7</f>
        <v>75527.7</v>
      </c>
      <c r="G5" s="77">
        <v>2950</v>
      </c>
      <c r="H5" s="78" t="s">
        <v>13</v>
      </c>
      <c r="I5" s="26"/>
      <c r="J5" s="26"/>
      <c r="K5" s="10"/>
      <c r="L5" s="89"/>
      <c r="M5" s="91" t="s">
        <v>32</v>
      </c>
      <c r="N5" s="91" t="s">
        <v>34</v>
      </c>
      <c r="O5" s="91" t="s">
        <v>35</v>
      </c>
    </row>
    <row r="6" spans="1:15" ht="12.75" customHeight="1">
      <c r="A6" s="9"/>
      <c r="B6" s="40" t="s">
        <v>5</v>
      </c>
      <c r="C6" s="41">
        <v>0</v>
      </c>
      <c r="D6" s="40">
        <f>C6</f>
        <v>0</v>
      </c>
      <c r="E6" s="42">
        <v>37</v>
      </c>
      <c r="F6" s="43">
        <f aca="true" t="shared" si="0" ref="F6:F12">D6*E6</f>
        <v>0</v>
      </c>
      <c r="G6" s="77">
        <v>1894</v>
      </c>
      <c r="H6" s="78" t="s">
        <v>14</v>
      </c>
      <c r="I6" s="26"/>
      <c r="J6" s="26"/>
      <c r="K6" s="10"/>
      <c r="L6" s="92" t="s">
        <v>33</v>
      </c>
      <c r="M6" s="91">
        <v>474</v>
      </c>
      <c r="N6" s="93">
        <f aca="true" t="shared" si="1" ref="N6:N34">SUM($C$6:$C$10)+$C$12+M6</f>
        <v>478</v>
      </c>
      <c r="O6" s="93">
        <f aca="true" t="shared" si="2" ref="O6:O34">SUM($D$6:$D$10)+$D$12+(48.1*M6/1000)</f>
        <v>46.799400000000006</v>
      </c>
    </row>
    <row r="7" spans="1:15" ht="12.75" customHeight="1">
      <c r="A7" s="9"/>
      <c r="B7" s="40" t="s">
        <v>6</v>
      </c>
      <c r="C7" s="41">
        <v>0</v>
      </c>
      <c r="D7" s="40">
        <f>C7</f>
        <v>0</v>
      </c>
      <c r="E7" s="42">
        <v>37</v>
      </c>
      <c r="F7" s="43">
        <f t="shared" si="0"/>
        <v>0</v>
      </c>
      <c r="G7" s="19">
        <v>75527.7</v>
      </c>
      <c r="H7" s="78" t="s">
        <v>23</v>
      </c>
      <c r="I7" s="26"/>
      <c r="J7" s="26"/>
      <c r="K7" s="10"/>
      <c r="L7" s="89"/>
      <c r="M7" s="91">
        <f>M6-15</f>
        <v>459</v>
      </c>
      <c r="N7" s="93">
        <f t="shared" si="1"/>
        <v>463</v>
      </c>
      <c r="O7" s="93">
        <f t="shared" si="2"/>
        <v>46.0779</v>
      </c>
    </row>
    <row r="8" spans="1:15" ht="12.75" customHeight="1">
      <c r="A8" s="9"/>
      <c r="B8" s="52" t="s">
        <v>27</v>
      </c>
      <c r="C8" s="53">
        <v>4</v>
      </c>
      <c r="D8" s="52">
        <f>C8*6</f>
        <v>24</v>
      </c>
      <c r="E8" s="54">
        <v>46.6</v>
      </c>
      <c r="F8" s="55">
        <f t="shared" si="0"/>
        <v>1118.4</v>
      </c>
      <c r="G8" s="77">
        <f>G5-G6</f>
        <v>1056</v>
      </c>
      <c r="H8" s="78" t="s">
        <v>12</v>
      </c>
      <c r="I8" s="26"/>
      <c r="J8" s="26"/>
      <c r="K8" s="10"/>
      <c r="L8" s="89"/>
      <c r="M8" s="91">
        <f aca="true" t="shared" si="3" ref="M8:M29">M7-15</f>
        <v>444</v>
      </c>
      <c r="N8" s="93">
        <f t="shared" si="1"/>
        <v>448</v>
      </c>
      <c r="O8" s="93">
        <f t="shared" si="2"/>
        <v>45.3564</v>
      </c>
    </row>
    <row r="9" spans="1:15" ht="12.75" customHeight="1">
      <c r="A9" s="9"/>
      <c r="B9" s="44" t="s">
        <v>18</v>
      </c>
      <c r="C9" s="45">
        <v>0</v>
      </c>
      <c r="D9" s="44">
        <f>C9</f>
        <v>0</v>
      </c>
      <c r="E9" s="46">
        <v>74</v>
      </c>
      <c r="F9" s="47">
        <f t="shared" si="0"/>
        <v>0</v>
      </c>
      <c r="G9" s="79">
        <v>200</v>
      </c>
      <c r="H9" s="78" t="s">
        <v>15</v>
      </c>
      <c r="I9" s="26"/>
      <c r="J9" s="26"/>
      <c r="K9" s="10"/>
      <c r="L9" s="89"/>
      <c r="M9" s="91">
        <f t="shared" si="3"/>
        <v>429</v>
      </c>
      <c r="N9" s="93">
        <f t="shared" si="1"/>
        <v>433</v>
      </c>
      <c r="O9" s="93">
        <f t="shared" si="2"/>
        <v>44.6349</v>
      </c>
    </row>
    <row r="10" spans="1:15" ht="12.75" customHeight="1">
      <c r="A10" s="9"/>
      <c r="B10" s="44" t="s">
        <v>19</v>
      </c>
      <c r="C10" s="45">
        <v>0</v>
      </c>
      <c r="D10" s="44">
        <f>C10</f>
        <v>0</v>
      </c>
      <c r="E10" s="46">
        <v>74</v>
      </c>
      <c r="F10" s="47">
        <f t="shared" si="0"/>
        <v>0</v>
      </c>
      <c r="G10" s="79"/>
      <c r="H10" s="78"/>
      <c r="I10" s="26"/>
      <c r="J10" s="26"/>
      <c r="K10" s="10"/>
      <c r="L10" s="89"/>
      <c r="M10" s="91">
        <f t="shared" si="3"/>
        <v>414</v>
      </c>
      <c r="N10" s="93">
        <f t="shared" si="1"/>
        <v>418</v>
      </c>
      <c r="O10" s="93">
        <f t="shared" si="2"/>
        <v>43.9134</v>
      </c>
    </row>
    <row r="11" spans="1:15" ht="12.75" customHeight="1">
      <c r="A11" s="9"/>
      <c r="B11" s="48" t="s">
        <v>28</v>
      </c>
      <c r="C11" s="49">
        <v>30</v>
      </c>
      <c r="D11" s="48">
        <f>C11</f>
        <v>30</v>
      </c>
      <c r="E11" s="50">
        <v>97</v>
      </c>
      <c r="F11" s="51">
        <f t="shared" si="0"/>
        <v>2910</v>
      </c>
      <c r="G11" s="79">
        <v>74</v>
      </c>
      <c r="H11" s="78" t="s">
        <v>20</v>
      </c>
      <c r="I11" s="26"/>
      <c r="J11" s="26"/>
      <c r="K11" s="10"/>
      <c r="L11" s="89"/>
      <c r="M11" s="91">
        <f t="shared" si="3"/>
        <v>399</v>
      </c>
      <c r="N11" s="93">
        <f t="shared" si="1"/>
        <v>403</v>
      </c>
      <c r="O11" s="93">
        <f t="shared" si="2"/>
        <v>43.191900000000004</v>
      </c>
    </row>
    <row r="12" spans="1:15" ht="12.75" customHeight="1">
      <c r="A12" s="9"/>
      <c r="B12" s="48" t="s">
        <v>29</v>
      </c>
      <c r="C12" s="49">
        <v>0</v>
      </c>
      <c r="D12" s="48">
        <f>C12</f>
        <v>0</v>
      </c>
      <c r="E12" s="50">
        <v>122</v>
      </c>
      <c r="F12" s="51">
        <f t="shared" si="0"/>
        <v>0</v>
      </c>
      <c r="G12" s="80">
        <v>33</v>
      </c>
      <c r="H12" s="81">
        <v>1800</v>
      </c>
      <c r="I12" s="82" t="s">
        <v>7</v>
      </c>
      <c r="J12" s="81"/>
      <c r="K12" s="10"/>
      <c r="L12" s="89"/>
      <c r="M12" s="91">
        <f t="shared" si="3"/>
        <v>384</v>
      </c>
      <c r="N12" s="93">
        <f t="shared" si="1"/>
        <v>388</v>
      </c>
      <c r="O12" s="93">
        <f t="shared" si="2"/>
        <v>42.4704</v>
      </c>
    </row>
    <row r="13" spans="1:15" ht="12.75" customHeight="1">
      <c r="A13" s="9"/>
      <c r="B13" s="48" t="s">
        <v>43</v>
      </c>
      <c r="C13" s="49">
        <v>0</v>
      </c>
      <c r="D13" s="48" t="s">
        <v>43</v>
      </c>
      <c r="E13" s="50" t="s">
        <v>43</v>
      </c>
      <c r="F13" s="51" t="s">
        <v>43</v>
      </c>
      <c r="G13" s="80">
        <v>33</v>
      </c>
      <c r="H13" s="81">
        <v>2250</v>
      </c>
      <c r="I13" s="82" t="s">
        <v>8</v>
      </c>
      <c r="J13" s="81"/>
      <c r="K13" s="10"/>
      <c r="L13" s="89"/>
      <c r="M13" s="91">
        <f t="shared" si="3"/>
        <v>369</v>
      </c>
      <c r="N13" s="93">
        <f t="shared" si="1"/>
        <v>373</v>
      </c>
      <c r="O13" s="93">
        <f t="shared" si="2"/>
        <v>41.748900000000006</v>
      </c>
    </row>
    <row r="14" spans="1:15" ht="12.75" customHeight="1">
      <c r="A14" s="9"/>
      <c r="B14" s="56" t="s">
        <v>24</v>
      </c>
      <c r="C14" s="56"/>
      <c r="D14" s="38">
        <f>SUM(D5:D12)</f>
        <v>1948</v>
      </c>
      <c r="E14" s="38">
        <f>F14/D14</f>
        <v>40.83988706365503</v>
      </c>
      <c r="F14" s="39">
        <f>SUM(F5:F12)</f>
        <v>79556.09999999999</v>
      </c>
      <c r="G14" s="80">
        <v>39.5</v>
      </c>
      <c r="H14" s="81">
        <v>2950</v>
      </c>
      <c r="I14" s="82" t="s">
        <v>9</v>
      </c>
      <c r="J14" s="81"/>
      <c r="K14" s="10"/>
      <c r="L14" s="89"/>
      <c r="M14" s="91">
        <f t="shared" si="3"/>
        <v>354</v>
      </c>
      <c r="N14" s="93">
        <f t="shared" si="1"/>
        <v>358</v>
      </c>
      <c r="O14" s="93">
        <f t="shared" si="2"/>
        <v>41.0274</v>
      </c>
    </row>
    <row r="15" spans="1:15" ht="12.75" customHeight="1">
      <c r="A15" s="9"/>
      <c r="B15" s="34" t="str">
        <f>IF(D14&gt;G5,"Overweight by:","Remaining Useful Load:")</f>
        <v>Remaining Useful Load:</v>
      </c>
      <c r="C15" s="35">
        <f>G5-D14</f>
        <v>1002</v>
      </c>
      <c r="D15" s="26"/>
      <c r="E15" s="26"/>
      <c r="F15" s="26"/>
      <c r="G15" s="80">
        <v>48.5</v>
      </c>
      <c r="H15" s="81">
        <v>2950</v>
      </c>
      <c r="I15" s="82" t="s">
        <v>10</v>
      </c>
      <c r="J15" s="81"/>
      <c r="K15" s="10"/>
      <c r="L15" s="89"/>
      <c r="M15" s="91">
        <f t="shared" si="3"/>
        <v>339</v>
      </c>
      <c r="N15" s="93">
        <f t="shared" si="1"/>
        <v>343</v>
      </c>
      <c r="O15" s="93">
        <f t="shared" si="2"/>
        <v>40.3059</v>
      </c>
    </row>
    <row r="16" spans="1:15" ht="12.75" customHeight="1">
      <c r="A16" s="9"/>
      <c r="B16" s="21" t="s">
        <v>21</v>
      </c>
      <c r="C16" s="22"/>
      <c r="D16" s="22"/>
      <c r="E16" s="23"/>
      <c r="F16" s="24"/>
      <c r="G16" s="80">
        <v>48.5</v>
      </c>
      <c r="H16" s="81">
        <v>1800</v>
      </c>
      <c r="I16" s="82" t="s">
        <v>16</v>
      </c>
      <c r="J16" s="81"/>
      <c r="K16" s="10"/>
      <c r="L16" s="89"/>
      <c r="M16" s="91">
        <f t="shared" si="3"/>
        <v>324</v>
      </c>
      <c r="N16" s="93">
        <f t="shared" si="1"/>
        <v>328</v>
      </c>
      <c r="O16" s="93">
        <f t="shared" si="2"/>
        <v>39.5844</v>
      </c>
    </row>
    <row r="17" spans="1:15" ht="12.75" customHeight="1">
      <c r="A17" s="9"/>
      <c r="B17" s="25">
        <f>IF(D14&gt;G5,"Warning: Maximum Gross Weight Exceeded","")</f>
      </c>
      <c r="C17" s="26"/>
      <c r="D17" s="26"/>
      <c r="E17" s="26"/>
      <c r="F17" s="27"/>
      <c r="G17" s="83">
        <f>D5</f>
        <v>1894</v>
      </c>
      <c r="H17" s="83">
        <f>I17/G17</f>
        <v>39.8773495248152</v>
      </c>
      <c r="I17" s="83">
        <f>F5</f>
        <v>75527.7</v>
      </c>
      <c r="J17" s="81"/>
      <c r="K17" s="10"/>
      <c r="L17" s="89"/>
      <c r="M17" s="91">
        <f t="shared" si="3"/>
        <v>309</v>
      </c>
      <c r="N17" s="93">
        <f t="shared" si="1"/>
        <v>313</v>
      </c>
      <c r="O17" s="93">
        <f t="shared" si="2"/>
        <v>38.862899999999996</v>
      </c>
    </row>
    <row r="18" spans="1:15" ht="12.75" customHeight="1">
      <c r="A18" s="9"/>
      <c r="B18" s="25">
        <f>IF(((C12)&gt;G9),"Warning: Too Much Baggage","")</f>
      </c>
      <c r="C18" s="26"/>
      <c r="D18" s="26"/>
      <c r="E18" s="28"/>
      <c r="F18" s="29"/>
      <c r="G18" s="83">
        <f>D6+G17</f>
        <v>1894</v>
      </c>
      <c r="H18" s="83">
        <f aca="true" t="shared" si="4" ref="H18:H23">I18/G18</f>
        <v>39.8773495248152</v>
      </c>
      <c r="I18" s="83">
        <f>F6+I17</f>
        <v>75527.7</v>
      </c>
      <c r="J18" s="81"/>
      <c r="K18" s="10"/>
      <c r="L18" s="89"/>
      <c r="M18" s="91">
        <f t="shared" si="3"/>
        <v>294</v>
      </c>
      <c r="N18" s="93">
        <f t="shared" si="1"/>
        <v>298</v>
      </c>
      <c r="O18" s="93">
        <f t="shared" si="2"/>
        <v>38.1414</v>
      </c>
    </row>
    <row r="19" spans="1:15" ht="12.75" customHeight="1">
      <c r="A19" s="9"/>
      <c r="B19" s="25">
        <f>IF(MAX(E14)&gt;G16,"Warning: C.G. Too Far Aft","")&amp;IF(OR(F22,F23,F24),"Warning: C.G. Too Far Forward","")</f>
      </c>
      <c r="C19" s="26"/>
      <c r="D19" s="26"/>
      <c r="E19" s="28"/>
      <c r="F19" s="29"/>
      <c r="G19" s="83">
        <f>D7+G18</f>
        <v>1894</v>
      </c>
      <c r="H19" s="83">
        <f t="shared" si="4"/>
        <v>39.8773495248152</v>
      </c>
      <c r="I19" s="83">
        <f>F7+I18</f>
        <v>75527.7</v>
      </c>
      <c r="J19" s="81"/>
      <c r="K19" s="10"/>
      <c r="L19" s="89"/>
      <c r="M19" s="91">
        <f t="shared" si="3"/>
        <v>279</v>
      </c>
      <c r="N19" s="93">
        <f t="shared" si="1"/>
        <v>283</v>
      </c>
      <c r="O19" s="93">
        <f t="shared" si="2"/>
        <v>37.4199</v>
      </c>
    </row>
    <row r="20" spans="1:15" ht="12.75" customHeight="1">
      <c r="A20" s="9"/>
      <c r="B20" s="30" t="str">
        <f>IF(C8&gt;G11,"Error: Too Much Fuel","")&amp;IF(C8&lt;F25,"Warning: Low Fuel","")</f>
        <v>Warning: Low Fuel</v>
      </c>
      <c r="C20" s="2"/>
      <c r="D20" s="31"/>
      <c r="E20" s="31"/>
      <c r="F20" s="32"/>
      <c r="G20" s="83">
        <f>D9+G19</f>
        <v>1894</v>
      </c>
      <c r="H20" s="83">
        <f t="shared" si="4"/>
        <v>39.8773495248152</v>
      </c>
      <c r="I20" s="83">
        <f>F9+I19</f>
        <v>75527.7</v>
      </c>
      <c r="J20" s="81"/>
      <c r="K20" s="10"/>
      <c r="L20" s="89"/>
      <c r="M20" s="91">
        <f t="shared" si="3"/>
        <v>264</v>
      </c>
      <c r="N20" s="93">
        <f t="shared" si="1"/>
        <v>268</v>
      </c>
      <c r="O20" s="93">
        <f t="shared" si="2"/>
        <v>36.6984</v>
      </c>
    </row>
    <row r="21" spans="1:15" ht="12.75" customHeight="1">
      <c r="A21" s="9"/>
      <c r="B21" s="84" t="s">
        <v>22</v>
      </c>
      <c r="C21" s="84"/>
      <c r="D21" s="85"/>
      <c r="E21" s="85"/>
      <c r="F21" s="85"/>
      <c r="G21" s="83">
        <f>D10+G20</f>
        <v>1894</v>
      </c>
      <c r="H21" s="83">
        <f t="shared" si="4"/>
        <v>39.8773495248152</v>
      </c>
      <c r="I21" s="83">
        <f>F10+I20</f>
        <v>75527.7</v>
      </c>
      <c r="J21" s="81"/>
      <c r="K21" s="10"/>
      <c r="L21" s="89"/>
      <c r="M21" s="91">
        <f t="shared" si="3"/>
        <v>249</v>
      </c>
      <c r="N21" s="93">
        <f t="shared" si="1"/>
        <v>253</v>
      </c>
      <c r="O21" s="93">
        <f t="shared" si="2"/>
        <v>35.9769</v>
      </c>
    </row>
    <row r="22" spans="1:15" ht="12.75" customHeight="1">
      <c r="A22" s="9"/>
      <c r="B22" s="57" t="s">
        <v>41</v>
      </c>
      <c r="C22" s="58"/>
      <c r="D22" s="59"/>
      <c r="E22" s="60"/>
      <c r="F22" s="86" t="b">
        <f>E14&lt;G13</f>
        <v>0</v>
      </c>
      <c r="G22" s="83">
        <f>D12+G21</f>
        <v>1894</v>
      </c>
      <c r="H22" s="83">
        <f t="shared" si="4"/>
        <v>39.8773495248152</v>
      </c>
      <c r="I22" s="83">
        <f>F12+I21</f>
        <v>75527.7</v>
      </c>
      <c r="J22" s="81"/>
      <c r="K22" s="10"/>
      <c r="L22" s="89"/>
      <c r="M22" s="91">
        <f t="shared" si="3"/>
        <v>234</v>
      </c>
      <c r="N22" s="93">
        <f t="shared" si="1"/>
        <v>238</v>
      </c>
      <c r="O22" s="93">
        <f t="shared" si="2"/>
        <v>35.2554</v>
      </c>
    </row>
    <row r="23" spans="1:15" ht="12.75" customHeight="1">
      <c r="A23" s="9"/>
      <c r="B23" s="20" t="s">
        <v>37</v>
      </c>
      <c r="C23" s="3" t="s">
        <v>30</v>
      </c>
      <c r="D23" s="22"/>
      <c r="E23" s="61"/>
      <c r="F23" s="86" t="b">
        <f>OR(AND(D14&lt;H14,D14&gt;(H13+(H14-H13)*(E14-G13)/(G14-G13))))</f>
        <v>0</v>
      </c>
      <c r="G23" s="83">
        <f>D8+G22</f>
        <v>1918</v>
      </c>
      <c r="H23" s="83">
        <f t="shared" si="4"/>
        <v>39.96147028154327</v>
      </c>
      <c r="I23" s="83">
        <f>F8+I22</f>
        <v>76646.09999999999</v>
      </c>
      <c r="J23" s="81"/>
      <c r="K23" s="10"/>
      <c r="L23" s="89"/>
      <c r="M23" s="91">
        <f t="shared" si="3"/>
        <v>219</v>
      </c>
      <c r="N23" s="93">
        <f t="shared" si="1"/>
        <v>223</v>
      </c>
      <c r="O23" s="93">
        <f t="shared" si="2"/>
        <v>34.5339</v>
      </c>
    </row>
    <row r="24" spans="1:15" ht="12.75" customHeight="1">
      <c r="A24" s="87" t="s">
        <v>25</v>
      </c>
      <c r="B24" s="62" t="s">
        <v>38</v>
      </c>
      <c r="C24" s="33" t="s">
        <v>40</v>
      </c>
      <c r="D24" s="26"/>
      <c r="E24" s="27"/>
      <c r="F24" s="86" t="b">
        <f>OR(AND(D14&lt;H15,D14&gt;(H14+(H15-H14)*(E14-G14)/(G15-G14))))</f>
        <v>0</v>
      </c>
      <c r="G24" s="81"/>
      <c r="H24" s="81"/>
      <c r="I24" s="81"/>
      <c r="J24" s="81"/>
      <c r="K24" s="10"/>
      <c r="L24" s="89"/>
      <c r="M24" s="91">
        <f t="shared" si="3"/>
        <v>204</v>
      </c>
      <c r="N24" s="93">
        <f t="shared" si="1"/>
        <v>208</v>
      </c>
      <c r="O24" s="93">
        <f t="shared" si="2"/>
        <v>33.8124</v>
      </c>
    </row>
    <row r="25" spans="1:15" ht="12.75" customHeight="1">
      <c r="A25" s="87" t="s">
        <v>26</v>
      </c>
      <c r="B25" s="62" t="s">
        <v>39</v>
      </c>
      <c r="C25" s="33"/>
      <c r="D25" s="26"/>
      <c r="E25" s="27"/>
      <c r="F25" s="88">
        <v>10</v>
      </c>
      <c r="G25" s="81"/>
      <c r="H25" s="81"/>
      <c r="I25" s="81"/>
      <c r="J25" s="81"/>
      <c r="K25" s="10"/>
      <c r="L25" s="89"/>
      <c r="M25" s="91">
        <f t="shared" si="3"/>
        <v>189</v>
      </c>
      <c r="N25" s="93">
        <f t="shared" si="1"/>
        <v>193</v>
      </c>
      <c r="O25" s="93">
        <f t="shared" si="2"/>
        <v>33.0909</v>
      </c>
    </row>
    <row r="26" spans="1:15" ht="12.75" customHeight="1">
      <c r="A26" s="9"/>
      <c r="B26" s="18"/>
      <c r="C26" s="2"/>
      <c r="D26" s="2"/>
      <c r="E26" s="63"/>
      <c r="F26" s="26"/>
      <c r="G26" s="81"/>
      <c r="H26" s="81"/>
      <c r="I26" s="81"/>
      <c r="J26" s="26"/>
      <c r="K26" s="10"/>
      <c r="L26" s="89"/>
      <c r="M26" s="91" t="e">
        <f>#REF!-15</f>
        <v>#REF!</v>
      </c>
      <c r="N26" s="93" t="e">
        <f t="shared" si="1"/>
        <v>#REF!</v>
      </c>
      <c r="O26" s="93" t="e">
        <f t="shared" si="2"/>
        <v>#REF!</v>
      </c>
    </row>
    <row r="27" spans="2:15" ht="12.75" customHeight="1">
      <c r="B27" s="6"/>
      <c r="C27" s="6"/>
      <c r="D27" s="6"/>
      <c r="E27" s="6"/>
      <c r="F27" s="13"/>
      <c r="G27" s="6"/>
      <c r="H27" s="7"/>
      <c r="I27" s="8"/>
      <c r="J27" s="6"/>
      <c r="K27" s="6"/>
      <c r="L27" s="89"/>
      <c r="M27" s="91" t="e">
        <f>#REF!-15</f>
        <v>#REF!</v>
      </c>
      <c r="N27" s="93" t="e">
        <f t="shared" si="1"/>
        <v>#REF!</v>
      </c>
      <c r="O27" s="93" t="e">
        <f t="shared" si="2"/>
        <v>#REF!</v>
      </c>
    </row>
    <row r="28" spans="1:15" ht="12.75" customHeight="1">
      <c r="A28" s="6"/>
      <c r="B28" s="6"/>
      <c r="C28" s="6"/>
      <c r="D28" s="6"/>
      <c r="E28" s="6"/>
      <c r="G28" s="4"/>
      <c r="H28" s="6"/>
      <c r="J28" s="6"/>
      <c r="K28" s="6"/>
      <c r="L28" s="89"/>
      <c r="M28" s="91" t="e">
        <f t="shared" si="3"/>
        <v>#REF!</v>
      </c>
      <c r="N28" s="93" t="e">
        <f t="shared" si="1"/>
        <v>#REF!</v>
      </c>
      <c r="O28" s="93" t="e">
        <f t="shared" si="2"/>
        <v>#REF!</v>
      </c>
    </row>
    <row r="29" spans="1:15" ht="12.75" customHeight="1">
      <c r="A29" s="6"/>
      <c r="B29" s="12"/>
      <c r="C29" s="12"/>
      <c r="D29" s="6"/>
      <c r="E29" s="14"/>
      <c r="G29" s="16"/>
      <c r="H29" s="6"/>
      <c r="J29" s="6"/>
      <c r="K29" s="6"/>
      <c r="L29" s="89"/>
      <c r="M29" s="91" t="e">
        <f t="shared" si="3"/>
        <v>#REF!</v>
      </c>
      <c r="N29" s="93" t="e">
        <f t="shared" si="1"/>
        <v>#REF!</v>
      </c>
      <c r="O29" s="93" t="e">
        <f t="shared" si="2"/>
        <v>#REF!</v>
      </c>
    </row>
    <row r="30" spans="1:15" ht="12.75" customHeight="1">
      <c r="A30" s="6"/>
      <c r="B30" s="12"/>
      <c r="C30" s="12"/>
      <c r="D30" s="14"/>
      <c r="E30" s="14"/>
      <c r="G30" s="16"/>
      <c r="H30" s="6"/>
      <c r="J30" s="6"/>
      <c r="K30" s="6"/>
      <c r="L30" s="89"/>
      <c r="M30" s="91" t="e">
        <f>M29-15</f>
        <v>#REF!</v>
      </c>
      <c r="N30" s="93" t="e">
        <f t="shared" si="1"/>
        <v>#REF!</v>
      </c>
      <c r="O30" s="93" t="e">
        <f t="shared" si="2"/>
        <v>#REF!</v>
      </c>
    </row>
    <row r="31" spans="1:15" ht="12.75" customHeight="1">
      <c r="A31" s="6"/>
      <c r="B31" s="12"/>
      <c r="C31" s="12"/>
      <c r="D31" s="14"/>
      <c r="E31" s="15"/>
      <c r="G31" s="6"/>
      <c r="L31" s="89"/>
      <c r="M31" s="91" t="e">
        <f>M30-15</f>
        <v>#REF!</v>
      </c>
      <c r="N31" s="93" t="e">
        <f t="shared" si="1"/>
        <v>#REF!</v>
      </c>
      <c r="O31" s="93" t="e">
        <f t="shared" si="2"/>
        <v>#REF!</v>
      </c>
    </row>
    <row r="32" spans="2:15" ht="12.75" customHeight="1">
      <c r="B32" s="12"/>
      <c r="C32" s="12"/>
      <c r="D32" s="15"/>
      <c r="E32" s="16"/>
      <c r="F32" s="16"/>
      <c r="L32" s="89"/>
      <c r="M32" s="91" t="e">
        <f>M31-15</f>
        <v>#REF!</v>
      </c>
      <c r="N32" s="93" t="e">
        <f t="shared" si="1"/>
        <v>#REF!</v>
      </c>
      <c r="O32" s="93" t="e">
        <f t="shared" si="2"/>
        <v>#REF!</v>
      </c>
    </row>
    <row r="33" spans="2:15" ht="12.75" customHeight="1">
      <c r="B33" s="4"/>
      <c r="C33" s="16"/>
      <c r="D33" s="16"/>
      <c r="L33" s="89"/>
      <c r="M33" s="91" t="e">
        <f>M32-15</f>
        <v>#REF!</v>
      </c>
      <c r="N33" s="93" t="e">
        <f t="shared" si="1"/>
        <v>#REF!</v>
      </c>
      <c r="O33" s="93" t="e">
        <f t="shared" si="2"/>
        <v>#REF!</v>
      </c>
    </row>
    <row r="34" spans="12:15" ht="12.75" customHeight="1">
      <c r="L34" s="89"/>
      <c r="M34" s="91" t="e">
        <f>M33-15</f>
        <v>#REF!</v>
      </c>
      <c r="N34" s="93" t="e">
        <f t="shared" si="1"/>
        <v>#REF!</v>
      </c>
      <c r="O34" s="93" t="e">
        <f t="shared" si="2"/>
        <v>#REF!</v>
      </c>
    </row>
    <row r="35" spans="7:15" ht="12.75" customHeight="1">
      <c r="G35" s="4"/>
      <c r="L35" s="89"/>
      <c r="M35" s="94"/>
      <c r="N35" s="94"/>
      <c r="O35" s="91"/>
    </row>
    <row r="36" spans="5:15" ht="12.75" customHeight="1">
      <c r="E36" s="4"/>
      <c r="F36" s="4"/>
      <c r="G36" s="4"/>
      <c r="L36" s="89"/>
      <c r="M36" s="95" t="s">
        <v>36</v>
      </c>
      <c r="N36" s="95"/>
      <c r="O36" s="91"/>
    </row>
    <row r="37" spans="2:15" ht="12.75" customHeight="1">
      <c r="B37" s="4"/>
      <c r="C37" s="4"/>
      <c r="D37" s="4"/>
      <c r="E37" s="17"/>
      <c r="F37" s="16"/>
      <c r="G37" s="4"/>
      <c r="L37" s="89"/>
      <c r="M37" s="93">
        <v>59.2</v>
      </c>
      <c r="N37" s="91">
        <v>1800</v>
      </c>
      <c r="O37" s="91"/>
    </row>
    <row r="38" spans="2:15" ht="12.75" customHeight="1">
      <c r="B38" s="5"/>
      <c r="C38" s="17"/>
      <c r="D38" s="17"/>
      <c r="E38" s="17"/>
      <c r="F38" s="16"/>
      <c r="G38" s="4"/>
      <c r="L38" s="89"/>
      <c r="M38" s="93">
        <v>74.5</v>
      </c>
      <c r="N38" s="91">
        <v>2260</v>
      </c>
      <c r="O38" s="91"/>
    </row>
    <row r="39" spans="2:15" ht="12.75" customHeight="1">
      <c r="B39" s="17"/>
      <c r="C39" s="17"/>
      <c r="D39" s="17"/>
      <c r="E39" s="16"/>
      <c r="F39" s="16"/>
      <c r="G39" s="4"/>
      <c r="L39" s="89"/>
      <c r="M39" s="93">
        <v>107.5</v>
      </c>
      <c r="N39" s="91">
        <v>2800</v>
      </c>
      <c r="O39" s="91"/>
    </row>
    <row r="40" spans="2:15" ht="12.75" customHeight="1">
      <c r="B40" s="16"/>
      <c r="C40" s="16"/>
      <c r="D40" s="16"/>
      <c r="E40" s="4"/>
      <c r="F40" s="4"/>
      <c r="G40" s="4"/>
      <c r="L40" s="89"/>
      <c r="M40" s="93">
        <v>133</v>
      </c>
      <c r="N40" s="91">
        <v>2800</v>
      </c>
      <c r="O40" s="91"/>
    </row>
    <row r="41" spans="2:15" ht="12.75" customHeight="1">
      <c r="B41" s="4"/>
      <c r="C41" s="4"/>
      <c r="D41" s="4"/>
      <c r="E41" s="4"/>
      <c r="F41" s="4"/>
      <c r="L41" s="89"/>
      <c r="M41" s="93">
        <v>85.2</v>
      </c>
      <c r="N41" s="91">
        <v>1800</v>
      </c>
      <c r="O41" s="91"/>
    </row>
    <row r="42" spans="2:4" ht="12.75" customHeight="1">
      <c r="B42" s="4"/>
      <c r="C42" s="4"/>
      <c r="D42" s="4"/>
    </row>
  </sheetData>
  <sheetProtection selectLockedCells="1"/>
  <mergeCells count="1">
    <mergeCell ref="M36:N36"/>
  </mergeCells>
  <printOptions horizontalCentered="1"/>
  <pageMargins left="0.5" right="0" top="1.55" bottom="0.17" header="0.5" footer="0.5"/>
  <pageSetup fitToHeight="1" fitToWidth="1" orientation="landscape" scale="96" r:id="rId2"/>
  <ignoredErrors>
    <ignoredError sqref="H17:H23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ASR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C182P</dc:title>
  <dc:subject>Weight &amp; Balance</dc:subject>
  <dc:creator>Tom Gorski</dc:creator>
  <cp:keywords/>
  <dc:description>With Horton STOL Conversion</dc:description>
  <cp:lastModifiedBy>Ray</cp:lastModifiedBy>
  <cp:lastPrinted>2017-03-15T12:11:06Z</cp:lastPrinted>
  <dcterms:created xsi:type="dcterms:W3CDTF">1997-06-23T20:51:56Z</dcterms:created>
  <dcterms:modified xsi:type="dcterms:W3CDTF">2018-04-19T19:10:19Z</dcterms:modified>
  <cp:category/>
  <cp:version/>
  <cp:contentType/>
  <cp:contentStatus/>
</cp:coreProperties>
</file>